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4545"/>
  </bookViews>
  <sheets>
    <sheet name="Аркуш1 (3)" sheetId="3" r:id="rId1"/>
    <sheet name="Моделювання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3" l="1"/>
  <c r="F11" i="3"/>
  <c r="F9" i="3"/>
  <c r="H8" i="3"/>
  <c r="F8" i="3"/>
  <c r="H7" i="3"/>
  <c r="F7" i="3"/>
  <c r="H6" i="3"/>
  <c r="F6" i="3"/>
  <c r="I22" i="3" l="1"/>
  <c r="F24" i="2" s="1"/>
  <c r="C11" i="3"/>
  <c r="G11" i="3" s="1"/>
  <c r="C7" i="3"/>
  <c r="G7" i="3" s="1"/>
  <c r="C6" i="3"/>
  <c r="G8" i="3"/>
  <c r="G9" i="3"/>
  <c r="G10" i="3"/>
  <c r="G12" i="3"/>
  <c r="G13" i="3"/>
  <c r="G14" i="3"/>
  <c r="G15" i="3"/>
  <c r="G16" i="3"/>
  <c r="H6" i="2"/>
  <c r="H11" i="2"/>
  <c r="E22" i="3"/>
  <c r="F22" i="3" s="1"/>
  <c r="G22" i="3" s="1"/>
  <c r="H22" i="3" s="1"/>
  <c r="D22" i="3"/>
  <c r="G26" i="2"/>
  <c r="D26" i="2"/>
  <c r="E26" i="2"/>
  <c r="C24" i="2"/>
  <c r="C7" i="2"/>
  <c r="G7" i="2" s="1"/>
  <c r="G10" i="2"/>
  <c r="G12" i="2"/>
  <c r="G13" i="2"/>
  <c r="G14" i="2"/>
  <c r="G8" i="2"/>
  <c r="G9" i="2"/>
  <c r="B21" i="3"/>
  <c r="B22" i="3" s="1"/>
  <c r="C22" i="3" s="1"/>
  <c r="M18" i="3"/>
  <c r="K18" i="3"/>
  <c r="L18" i="3" s="1"/>
  <c r="G18" i="3"/>
  <c r="E18" i="3"/>
  <c r="D17" i="3"/>
  <c r="M16" i="3"/>
  <c r="K16" i="3"/>
  <c r="L16" i="3" s="1"/>
  <c r="E16" i="3"/>
  <c r="M15" i="3"/>
  <c r="K15" i="3"/>
  <c r="L15" i="3" s="1"/>
  <c r="E15" i="3"/>
  <c r="M14" i="3"/>
  <c r="K14" i="3"/>
  <c r="L14" i="3" s="1"/>
  <c r="E14" i="3"/>
  <c r="M13" i="3"/>
  <c r="K13" i="3"/>
  <c r="L13" i="3" s="1"/>
  <c r="E13" i="3"/>
  <c r="M12" i="3"/>
  <c r="K12" i="3"/>
  <c r="L12" i="3" s="1"/>
  <c r="E12" i="3"/>
  <c r="J10" i="3"/>
  <c r="K10" i="3" s="1"/>
  <c r="L10" i="3" s="1"/>
  <c r="E10" i="3"/>
  <c r="J9" i="3"/>
  <c r="K9" i="3" s="1"/>
  <c r="L9" i="3" s="1"/>
  <c r="E9" i="3"/>
  <c r="E8" i="3"/>
  <c r="M9" i="3" l="1"/>
  <c r="J11" i="3"/>
  <c r="M11" i="3" s="1"/>
  <c r="E11" i="3"/>
  <c r="E7" i="3"/>
  <c r="C17" i="3"/>
  <c r="E6" i="3"/>
  <c r="G6" i="3"/>
  <c r="M10" i="3"/>
  <c r="F17" i="3"/>
  <c r="J7" i="3"/>
  <c r="F26" i="2"/>
  <c r="J8" i="3"/>
  <c r="M8" i="3" s="1"/>
  <c r="H17" i="3"/>
  <c r="I17" i="3"/>
  <c r="J6" i="3"/>
  <c r="K6" i="3" s="1"/>
  <c r="C6" i="2"/>
  <c r="G6" i="2" s="1"/>
  <c r="C11" i="2"/>
  <c r="G11" i="2" s="1"/>
  <c r="E17" i="3" l="1"/>
  <c r="K11" i="3"/>
  <c r="L11" i="3" s="1"/>
  <c r="G17" i="3"/>
  <c r="C15" i="2"/>
  <c r="C25" i="2" s="1"/>
  <c r="C26" i="2" s="1"/>
  <c r="M6" i="3"/>
  <c r="M7" i="3"/>
  <c r="K7" i="3"/>
  <c r="L7" i="3" s="1"/>
  <c r="K8" i="3"/>
  <c r="L8" i="3" s="1"/>
  <c r="J17" i="3"/>
  <c r="M17" i="3" s="1"/>
  <c r="L6" i="3"/>
  <c r="K17" i="3" l="1"/>
</calcChain>
</file>

<file path=xl/sharedStrings.xml><?xml version="1.0" encoding="utf-8"?>
<sst xmlns="http://schemas.openxmlformats.org/spreadsheetml/2006/main" count="66" uniqueCount="48">
  <si>
    <t>№ п/п</t>
  </si>
  <si>
    <t>Назва заходів</t>
  </si>
  <si>
    <t>% виконання</t>
  </si>
  <si>
    <r>
      <t>Членам сім’ї учасників бойових дій в тому числі неповнолітнім дітям,</t>
    </r>
    <r>
      <rPr>
        <b/>
        <sz val="11"/>
        <color theme="1"/>
        <rFont val="Calibri"/>
        <family val="2"/>
        <charset val="204"/>
        <scheme val="minor"/>
      </rPr>
      <t xml:space="preserve"> у зв’язку з втратою годувальника</t>
    </r>
  </si>
  <si>
    <r>
      <t xml:space="preserve">Членам сім’ї учасників бойових дій, </t>
    </r>
    <r>
      <rPr>
        <b/>
        <sz val="11"/>
        <color theme="1"/>
        <rFont val="Calibri"/>
        <family val="2"/>
        <charset val="204"/>
        <scheme val="minor"/>
      </rPr>
      <t>які померли після демобілізації</t>
    </r>
  </si>
  <si>
    <r>
      <t xml:space="preserve">Членам сім’ї загиблих учасників бойових дій, </t>
    </r>
    <r>
      <rPr>
        <b/>
        <sz val="11"/>
        <color theme="1"/>
        <rFont val="Calibri"/>
        <family val="2"/>
        <charset val="204"/>
        <scheme val="minor"/>
      </rPr>
      <t>до роковин трагедії</t>
    </r>
  </si>
  <si>
    <r>
      <t xml:space="preserve">Членам сім’ї осіб, </t>
    </r>
    <r>
      <rPr>
        <b/>
        <sz val="11"/>
        <color theme="1"/>
        <rFont val="Calibri"/>
        <family val="2"/>
        <charset val="204"/>
        <scheme val="minor"/>
      </rPr>
      <t>зниклих безвісти</t>
    </r>
    <r>
      <rPr>
        <sz val="11"/>
        <color theme="1"/>
        <rFont val="Calibri"/>
        <family val="2"/>
        <charset val="204"/>
        <scheme val="minor"/>
      </rPr>
      <t xml:space="preserve"> під час участі у бойових діях</t>
    </r>
  </si>
  <si>
    <r>
      <t xml:space="preserve">У зв’язку </t>
    </r>
    <r>
      <rPr>
        <b/>
        <sz val="11"/>
        <color theme="1"/>
        <rFont val="Calibri"/>
        <family val="2"/>
        <charset val="204"/>
        <scheme val="minor"/>
      </rPr>
      <t>з втратою члена сім’ї</t>
    </r>
    <r>
      <rPr>
        <sz val="11"/>
        <color theme="1"/>
        <rFont val="Calibri"/>
        <family val="2"/>
        <charset val="204"/>
        <scheme val="minor"/>
      </rPr>
      <t>, смерть якого пов’язана із здійсненням заходів з національної безпеки і оборони</t>
    </r>
  </si>
  <si>
    <r>
      <rPr>
        <b/>
        <sz val="11"/>
        <color theme="1"/>
        <rFont val="Calibri"/>
        <family val="2"/>
        <charset val="204"/>
        <scheme val="minor"/>
      </rPr>
      <t>На лікування</t>
    </r>
    <r>
      <rPr>
        <sz val="11"/>
        <color theme="1"/>
        <rFont val="Calibri"/>
        <family val="2"/>
        <charset val="204"/>
        <scheme val="minor"/>
      </rPr>
      <t xml:space="preserve"> учасників бойових дій та їх родин</t>
    </r>
  </si>
  <si>
    <r>
      <t xml:space="preserve">На </t>
    </r>
    <r>
      <rPr>
        <b/>
        <sz val="11"/>
        <color theme="1"/>
        <rFont val="Calibri"/>
        <family val="2"/>
        <charset val="204"/>
        <scheme val="minor"/>
      </rPr>
      <t>поліпшення житлових умов</t>
    </r>
  </si>
  <si>
    <t>Бюджет (грн.)</t>
  </si>
  <si>
    <t>Всього</t>
  </si>
  <si>
    <t>Кількість розглянутих заяв</t>
  </si>
  <si>
    <t xml:space="preserve">Використання коштів обласного бюджету для надання матеріальної допомоги учасникам бойових дій, іншим ветеранам війни
Івано-Франківської області та членам їх сімей на 2024-2026 роки </t>
  </si>
  <si>
    <r>
      <t>Оздоровлення, першочергово, у</t>
    </r>
    <r>
      <rPr>
        <b/>
        <sz val="11"/>
        <color theme="1"/>
        <rFont val="Calibri"/>
        <family val="2"/>
        <charset val="204"/>
        <scheme val="minor"/>
      </rPr>
      <t xml:space="preserve"> санаторно-курортних закладах</t>
    </r>
    <r>
      <rPr>
        <sz val="11"/>
        <color theme="1"/>
        <rFont val="Calibri"/>
        <family val="2"/>
        <charset val="204"/>
        <scheme val="minor"/>
      </rPr>
      <t xml:space="preserve"> ІФ області</t>
    </r>
  </si>
  <si>
    <r>
      <t xml:space="preserve">Підтримка на </t>
    </r>
    <r>
      <rPr>
        <b/>
        <sz val="11"/>
        <color theme="1"/>
        <rFont val="Calibri"/>
        <family val="2"/>
        <charset val="204"/>
        <scheme val="minor"/>
      </rPr>
      <t>конкурсних засадах проєктів (програм)</t>
    </r>
    <r>
      <rPr>
        <sz val="11"/>
        <color theme="1"/>
        <rFont val="Calibri"/>
        <family val="2"/>
        <charset val="204"/>
        <scheme val="minor"/>
      </rPr>
      <t>, розроблених інститутами громаднського суспільства, спрямованих на зідйснення соціально-психологічної реабілітації</t>
    </r>
  </si>
  <si>
    <r>
      <t xml:space="preserve">Матеріальної допомоги сім’ям, члени яких загинули (померли) під час </t>
    </r>
    <r>
      <rPr>
        <b/>
        <sz val="11"/>
        <color theme="1"/>
        <rFont val="Calibri"/>
        <family val="2"/>
        <charset val="204"/>
        <scheme val="minor"/>
      </rPr>
      <t xml:space="preserve">Революції Гідності, до роковин трагедії </t>
    </r>
  </si>
  <si>
    <r>
      <t xml:space="preserve">Виготовлення </t>
    </r>
    <r>
      <rPr>
        <b/>
        <sz val="11"/>
        <color theme="1"/>
        <rFont val="Calibri"/>
        <family val="2"/>
        <charset val="204"/>
        <scheme val="minor"/>
      </rPr>
      <t>відзнак та нагород</t>
    </r>
  </si>
  <si>
    <r>
      <rPr>
        <b/>
        <sz val="11"/>
        <color theme="1"/>
        <rFont val="Calibri"/>
        <family val="2"/>
        <charset val="204"/>
        <scheme val="minor"/>
      </rPr>
      <t>Щомісячні виплати дітям до 18 років</t>
    </r>
    <r>
      <rPr>
        <sz val="11"/>
        <color theme="1"/>
        <rFont val="Calibri"/>
        <family val="2"/>
        <charset val="204"/>
        <scheme val="minor"/>
      </rPr>
      <t xml:space="preserve"> та неповнолітнім братам і сестрам загиблих осіб під час </t>
    </r>
    <r>
      <rPr>
        <b/>
        <sz val="11"/>
        <color theme="1"/>
        <rFont val="Calibri"/>
        <family val="2"/>
        <charset val="204"/>
        <scheme val="minor"/>
      </rPr>
      <t>Революції Гідності</t>
    </r>
    <r>
      <rPr>
        <sz val="11"/>
        <color theme="1"/>
        <rFont val="Calibri"/>
        <family val="2"/>
        <charset val="204"/>
        <scheme val="minor"/>
      </rPr>
      <t>, дітям до 18 років та неповнолітнім братам і сестрам загиблих (померлих) бійців - добровольців</t>
    </r>
  </si>
  <si>
    <t>Платіжний календар (грн)</t>
  </si>
  <si>
    <t>% виконання (розглянуті+нерозглянуті)</t>
  </si>
  <si>
    <t>Кількість нерозглянутих заяв (шт)</t>
  </si>
  <si>
    <t>Сума нерозглянутих заяв (грн)</t>
  </si>
  <si>
    <t>Сума (розглянуті+нерозглянуті заяви) грн.</t>
  </si>
  <si>
    <t>Різниця без прогнозу до кінця року (бюджет - всі заяви) грн.</t>
  </si>
  <si>
    <t>% до бюджету</t>
  </si>
  <si>
    <t>Розглянуті (грн.)</t>
  </si>
  <si>
    <t>Різниця без прогнозу до кінця року грн.</t>
  </si>
  <si>
    <t>Звідки забираємо (пункти)</t>
  </si>
  <si>
    <r>
      <t>Оздоровлення, першочергово,</t>
    </r>
    <r>
      <rPr>
        <b/>
        <sz val="11"/>
        <color theme="1"/>
        <rFont val="Calibri"/>
        <family val="2"/>
        <charset val="204"/>
        <scheme val="minor"/>
      </rPr>
      <t xml:space="preserve"> у санаторно-курортних закладах ІФ області</t>
    </r>
  </si>
  <si>
    <t>Сума дофінсування статті</t>
  </si>
  <si>
    <t>Модель перекидки коштів та дофінансування 2 млн.грн. з обласного бюджету 2024 року</t>
  </si>
  <si>
    <t>Модель обласної програми на 2025 рік</t>
  </si>
  <si>
    <t>Всього перекидка на 2025 рік без прогнозу до кінця 2024 року</t>
  </si>
  <si>
    <t xml:space="preserve">Всього </t>
  </si>
  <si>
    <t>Бюджет 2025 (грн.)</t>
  </si>
  <si>
    <t>Бюджет 2024 (грн.)</t>
  </si>
  <si>
    <t>Бюджет 2023 (грн.)</t>
  </si>
  <si>
    <t>Перекидка з року в рік</t>
  </si>
  <si>
    <t>Фактичний залишок</t>
  </si>
  <si>
    <t>Примітка</t>
  </si>
  <si>
    <t>Виплачені (грн.)</t>
  </si>
  <si>
    <t>Згідно прогнозів виплата у 2024 році буде здійсненна по заявам прйнятих до вересня. Решту будуть перенесені на січень 2025 року</t>
  </si>
  <si>
    <t>4, 5</t>
  </si>
  <si>
    <t>7, 8</t>
  </si>
  <si>
    <t>Кількість нерозглянутих заяв станом на 26.09.2024</t>
  </si>
  <si>
    <t>Інформація станом на 01.11.2024 (засідання пятнадцятьох комісій)</t>
  </si>
  <si>
    <t>Розглянуті заяви на комісіях станом на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</si>
</sst>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9" fontId="2" fillId="2" borderId="1" xfId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/>
    </xf>
    <xf numFmtId="16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10" fontId="3" fillId="2" borderId="1" xfId="1" applyNumberFormat="1" applyFont="1" applyFill="1" applyBorder="1" applyAlignment="1">
      <alignment horizontal="right" vertical="center"/>
    </xf>
    <xf numFmtId="10" fontId="2" fillId="2" borderId="1" xfId="1" applyNumberFormat="1" applyFont="1" applyFill="1" applyBorder="1" applyAlignment="1">
      <alignment horizontal="right" vertical="center"/>
    </xf>
    <xf numFmtId="4" fontId="0" fillId="4" borderId="1" xfId="0" applyNumberFormat="1" applyFill="1" applyBorder="1" applyAlignment="1">
      <alignment wrapText="1"/>
    </xf>
    <xf numFmtId="4" fontId="0" fillId="0" borderId="0" xfId="0" applyNumberFormat="1" applyAlignment="1">
      <alignment wrapText="1"/>
    </xf>
    <xf numFmtId="3" fontId="2" fillId="3" borderId="1" xfId="0" applyNumberFormat="1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2" fillId="5" borderId="0" xfId="0" applyFont="1" applyFill="1" applyAlignment="1">
      <alignment vertical="center" wrapText="1"/>
    </xf>
    <xf numFmtId="4" fontId="2" fillId="5" borderId="0" xfId="0" applyNumberFormat="1" applyFont="1" applyFill="1" applyAlignment="1">
      <alignment horizontal="right" vertical="center" wrapText="1"/>
    </xf>
    <xf numFmtId="3" fontId="2" fillId="5" borderId="0" xfId="0" applyNumberFormat="1" applyFont="1" applyFill="1" applyAlignment="1">
      <alignment horizontal="right" vertical="center" wrapText="1"/>
    </xf>
    <xf numFmtId="0" fontId="0" fillId="5" borderId="0" xfId="0" applyFill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16" fontId="0" fillId="0" borderId="3" xfId="0" applyNumberFormat="1" applyBorder="1"/>
    <xf numFmtId="3" fontId="0" fillId="0" borderId="0" xfId="0" applyNumberFormat="1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zoomScale="80" zoomScaleNormal="80" workbookViewId="0">
      <selection activeCell="I14" sqref="I14"/>
    </sheetView>
  </sheetViews>
  <sheetFormatPr defaultRowHeight="15" x14ac:dyDescent="0.25"/>
  <cols>
    <col min="1" max="1" width="6.7109375" bestFit="1" customWidth="1"/>
    <col min="2" max="2" width="65" style="1" customWidth="1"/>
    <col min="3" max="3" width="15.140625" customWidth="1"/>
    <col min="4" max="4" width="15" customWidth="1"/>
    <col min="5" max="5" width="10.5703125" hidden="1" customWidth="1"/>
    <col min="6" max="6" width="13.7109375" bestFit="1" customWidth="1"/>
    <col min="7" max="7" width="15.85546875" customWidth="1"/>
    <col min="8" max="8" width="16.42578125" customWidth="1"/>
    <col min="9" max="10" width="13.85546875" bestFit="1" customWidth="1"/>
    <col min="11" max="11" width="14.7109375" customWidth="1"/>
    <col min="12" max="13" width="14.7109375" hidden="1" customWidth="1"/>
  </cols>
  <sheetData>
    <row r="1" spans="1:13" ht="28.9" customHeight="1" x14ac:dyDescent="0.25">
      <c r="A1" s="46" t="s">
        <v>13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28.9" customHeight="1" x14ac:dyDescent="0.25">
      <c r="A2" s="14"/>
      <c r="B2" s="1" t="s">
        <v>46</v>
      </c>
      <c r="C2" s="14"/>
      <c r="D2" s="14"/>
      <c r="E2" s="14"/>
      <c r="F2" s="14"/>
      <c r="G2" s="14"/>
      <c r="H2" s="14"/>
      <c r="I2" s="14"/>
    </row>
    <row r="4" spans="1:13" ht="26.45" customHeight="1" x14ac:dyDescent="0.25">
      <c r="A4" s="47" t="s">
        <v>0</v>
      </c>
      <c r="B4" s="49" t="s">
        <v>1</v>
      </c>
      <c r="C4" s="50" t="s">
        <v>47</v>
      </c>
      <c r="D4" s="50"/>
      <c r="E4" s="50"/>
      <c r="F4" s="50"/>
      <c r="G4" s="50"/>
      <c r="H4" s="50"/>
      <c r="I4" s="51" t="s">
        <v>45</v>
      </c>
      <c r="J4" s="51"/>
      <c r="K4" s="51" t="s">
        <v>23</v>
      </c>
      <c r="L4" s="52" t="s">
        <v>24</v>
      </c>
      <c r="M4" s="51" t="s">
        <v>20</v>
      </c>
    </row>
    <row r="5" spans="1:13" ht="45" x14ac:dyDescent="0.25">
      <c r="A5" s="48"/>
      <c r="B5" s="49"/>
      <c r="C5" s="2" t="s">
        <v>10</v>
      </c>
      <c r="D5" s="2" t="s">
        <v>41</v>
      </c>
      <c r="E5" s="2" t="s">
        <v>2</v>
      </c>
      <c r="F5" s="2" t="s">
        <v>26</v>
      </c>
      <c r="G5" s="2" t="s">
        <v>25</v>
      </c>
      <c r="H5" s="2" t="s">
        <v>12</v>
      </c>
      <c r="I5" s="15" t="s">
        <v>21</v>
      </c>
      <c r="J5" s="15" t="s">
        <v>22</v>
      </c>
      <c r="K5" s="51"/>
      <c r="L5" s="52"/>
      <c r="M5" s="51"/>
    </row>
    <row r="6" spans="1:13" ht="30" x14ac:dyDescent="0.25">
      <c r="A6" s="5">
        <v>1</v>
      </c>
      <c r="B6" s="3" t="s">
        <v>7</v>
      </c>
      <c r="C6" s="6">
        <f>12500000+2200000</f>
        <v>14700000</v>
      </c>
      <c r="D6" s="6">
        <v>9869969</v>
      </c>
      <c r="E6" s="8">
        <f>D6/C6</f>
        <v>0.67142646258503402</v>
      </c>
      <c r="F6" s="6">
        <f>1506657+1249160 +1249999+1682496+620832+49999+1391660+1437498+45000+670001+817500+1564997+2467081</f>
        <v>14752880</v>
      </c>
      <c r="G6" s="8">
        <f>D6/C6</f>
        <v>0.67142646258503402</v>
      </c>
      <c r="H6" s="9">
        <f>56+44+44+26+47+2+47+47+2+18+18+44+22</f>
        <v>417</v>
      </c>
      <c r="I6" s="17">
        <v>334</v>
      </c>
      <c r="J6" s="16">
        <f>(F6/H6)*I6</f>
        <v>11816455.443645084</v>
      </c>
      <c r="K6" s="16">
        <f>J6+F6</f>
        <v>26569335.443645082</v>
      </c>
      <c r="L6" s="29">
        <f>C6-K6</f>
        <v>-11869335.443645082</v>
      </c>
      <c r="M6" s="24">
        <f>(F6+J6)/C6</f>
        <v>1.8074377852819783</v>
      </c>
    </row>
    <row r="7" spans="1:13" x14ac:dyDescent="0.25">
      <c r="A7" s="5">
        <v>2</v>
      </c>
      <c r="B7" s="3" t="s">
        <v>6</v>
      </c>
      <c r="C7" s="6">
        <f>4000000+500000</f>
        <v>4500000</v>
      </c>
      <c r="D7" s="6">
        <v>3361823</v>
      </c>
      <c r="E7" s="8">
        <f t="shared" ref="E7:E16" si="0">D7/C7</f>
        <v>0.74707177777777778</v>
      </c>
      <c r="F7" s="6">
        <f>87500+1084165+37500+678334+25000+1540824+116665+424998+389583</f>
        <v>4384569</v>
      </c>
      <c r="G7" s="8">
        <f t="shared" ref="G7:G16" si="1">D7/C7</f>
        <v>0.74707177777777778</v>
      </c>
      <c r="H7" s="9">
        <f>5+53+2+31+1+89+7+21+22</f>
        <v>231</v>
      </c>
      <c r="I7" s="17">
        <v>418</v>
      </c>
      <c r="J7" s="16">
        <f t="shared" ref="J7" si="2">(F7/H7)*I7</f>
        <v>7933981.9999999991</v>
      </c>
      <c r="K7" s="16">
        <f t="shared" ref="K7:K16" si="3">J7+F7</f>
        <v>12318551</v>
      </c>
      <c r="L7" s="29">
        <f t="shared" ref="L7:L18" si="4">C7-K7</f>
        <v>-7818551</v>
      </c>
      <c r="M7" s="25">
        <f t="shared" ref="M7:M16" si="5">(F7+J7)/C7</f>
        <v>2.7374557777777779</v>
      </c>
    </row>
    <row r="8" spans="1:13" x14ac:dyDescent="0.25">
      <c r="A8" s="5">
        <v>3</v>
      </c>
      <c r="B8" s="3" t="s">
        <v>5</v>
      </c>
      <c r="C8" s="6">
        <v>9000000</v>
      </c>
      <c r="D8" s="6">
        <v>5881800</v>
      </c>
      <c r="E8" s="8">
        <f t="shared" si="0"/>
        <v>0.6535333333333333</v>
      </c>
      <c r="F8" s="6">
        <f>314000+515000+165000+1430500+1543000+30000+1834000+861000+456000+675000</f>
        <v>7823500</v>
      </c>
      <c r="G8" s="8">
        <f t="shared" si="1"/>
        <v>0.6535333333333333</v>
      </c>
      <c r="H8" s="9">
        <f>16+19+6+72+75+1+80+45+20+23</f>
        <v>357</v>
      </c>
      <c r="I8" s="17">
        <v>384</v>
      </c>
      <c r="J8" s="16">
        <f>(F8/H8)*I8</f>
        <v>8415193.2773109227</v>
      </c>
      <c r="K8" s="16">
        <f t="shared" si="3"/>
        <v>16238693.277310923</v>
      </c>
      <c r="L8" s="29">
        <f t="shared" si="4"/>
        <v>-7238693.2773109227</v>
      </c>
      <c r="M8" s="25">
        <f t="shared" si="5"/>
        <v>1.804299253034547</v>
      </c>
    </row>
    <row r="9" spans="1:13" ht="30" x14ac:dyDescent="0.25">
      <c r="A9" s="5">
        <v>4</v>
      </c>
      <c r="B9" s="3" t="s">
        <v>4</v>
      </c>
      <c r="C9" s="6">
        <v>300000</v>
      </c>
      <c r="D9" s="6">
        <v>0</v>
      </c>
      <c r="E9" s="8">
        <f t="shared" si="0"/>
        <v>0</v>
      </c>
      <c r="F9" s="6">
        <f>221250+15000</f>
        <v>236250</v>
      </c>
      <c r="G9" s="8">
        <f t="shared" si="1"/>
        <v>0</v>
      </c>
      <c r="H9" s="9">
        <v>17</v>
      </c>
      <c r="I9" s="17">
        <v>0</v>
      </c>
      <c r="J9" s="16">
        <f>I9*15000</f>
        <v>0</v>
      </c>
      <c r="K9" s="16">
        <f>J9+F9</f>
        <v>236250</v>
      </c>
      <c r="L9" s="29">
        <f t="shared" si="4"/>
        <v>63750</v>
      </c>
      <c r="M9" s="25">
        <f>(F9+J9)/C9</f>
        <v>0.78749999999999998</v>
      </c>
    </row>
    <row r="10" spans="1:13" ht="30" x14ac:dyDescent="0.25">
      <c r="A10" s="5">
        <v>5</v>
      </c>
      <c r="B10" s="3" t="s">
        <v>3</v>
      </c>
      <c r="C10" s="6">
        <v>350000</v>
      </c>
      <c r="D10" s="6">
        <v>355000</v>
      </c>
      <c r="E10" s="8">
        <f t="shared" si="0"/>
        <v>1.0142857142857142</v>
      </c>
      <c r="F10" s="6">
        <v>355000</v>
      </c>
      <c r="G10" s="8">
        <f t="shared" si="1"/>
        <v>1.0142857142857142</v>
      </c>
      <c r="H10" s="9">
        <v>60</v>
      </c>
      <c r="I10" s="17">
        <v>0</v>
      </c>
      <c r="J10" s="16">
        <f>(F10/H10)*I10</f>
        <v>0</v>
      </c>
      <c r="K10" s="16">
        <f t="shared" si="3"/>
        <v>355000</v>
      </c>
      <c r="L10" s="29">
        <f t="shared" si="4"/>
        <v>-5000</v>
      </c>
      <c r="M10" s="25">
        <f t="shared" si="5"/>
        <v>1.0142857142857142</v>
      </c>
    </row>
    <row r="11" spans="1:13" x14ac:dyDescent="0.25">
      <c r="A11" s="5">
        <v>6</v>
      </c>
      <c r="B11" s="3" t="s">
        <v>8</v>
      </c>
      <c r="C11" s="6">
        <f>4482200+3200000</f>
        <v>7682200</v>
      </c>
      <c r="D11" s="6">
        <v>6175000</v>
      </c>
      <c r="E11" s="8">
        <f t="shared" si="0"/>
        <v>0.80380620134857206</v>
      </c>
      <c r="F11" s="6">
        <f>138000+606000+641000+1139000+35000+310000+297000+652000+700000+1084000+533000+669000+339000+819000</f>
        <v>7962000</v>
      </c>
      <c r="G11" s="8">
        <f t="shared" si="1"/>
        <v>0.80380620134857206</v>
      </c>
      <c r="H11" s="10">
        <f>12+63+75+131+5+40+29+31+77+130+74+80+38+91</f>
        <v>876</v>
      </c>
      <c r="I11" s="17">
        <v>290</v>
      </c>
      <c r="J11" s="16">
        <f>(F11/H11)*I11</f>
        <v>2635821.9178082189</v>
      </c>
      <c r="K11" s="16">
        <f t="shared" si="3"/>
        <v>10597821.91780822</v>
      </c>
      <c r="L11" s="29">
        <f t="shared" si="4"/>
        <v>-2915621.9178082198</v>
      </c>
      <c r="M11" s="25">
        <f t="shared" si="5"/>
        <v>1.3795295511452734</v>
      </c>
    </row>
    <row r="12" spans="1:13" x14ac:dyDescent="0.25">
      <c r="A12" s="5">
        <v>7</v>
      </c>
      <c r="B12" s="3" t="s">
        <v>9</v>
      </c>
      <c r="C12" s="6">
        <v>1</v>
      </c>
      <c r="D12" s="6">
        <v>0</v>
      </c>
      <c r="E12" s="8">
        <f t="shared" si="0"/>
        <v>0</v>
      </c>
      <c r="F12" s="6">
        <v>0</v>
      </c>
      <c r="G12" s="8">
        <f t="shared" si="1"/>
        <v>0</v>
      </c>
      <c r="H12" s="9">
        <v>0</v>
      </c>
      <c r="I12" s="17">
        <v>0</v>
      </c>
      <c r="J12" s="16">
        <v>0</v>
      </c>
      <c r="K12" s="16">
        <f t="shared" si="3"/>
        <v>0</v>
      </c>
      <c r="L12" s="29">
        <f t="shared" si="4"/>
        <v>1</v>
      </c>
      <c r="M12" s="25">
        <f t="shared" si="5"/>
        <v>0</v>
      </c>
    </row>
    <row r="13" spans="1:13" ht="14.45" customHeight="1" x14ac:dyDescent="0.25">
      <c r="A13" s="5">
        <v>8</v>
      </c>
      <c r="B13" s="3" t="s">
        <v>14</v>
      </c>
      <c r="C13" s="6">
        <v>1</v>
      </c>
      <c r="D13" s="6">
        <v>0</v>
      </c>
      <c r="E13" s="8">
        <f t="shared" si="0"/>
        <v>0</v>
      </c>
      <c r="F13" s="6">
        <v>0</v>
      </c>
      <c r="G13" s="8">
        <f t="shared" si="1"/>
        <v>0</v>
      </c>
      <c r="H13" s="9">
        <v>0</v>
      </c>
      <c r="I13" s="17">
        <v>0</v>
      </c>
      <c r="J13" s="16">
        <v>0</v>
      </c>
      <c r="K13" s="16">
        <f t="shared" si="3"/>
        <v>0</v>
      </c>
      <c r="L13" s="29">
        <f t="shared" si="4"/>
        <v>1</v>
      </c>
      <c r="M13" s="25">
        <f t="shared" si="5"/>
        <v>0</v>
      </c>
    </row>
    <row r="14" spans="1:13" ht="45" x14ac:dyDescent="0.25">
      <c r="A14" s="5">
        <v>9</v>
      </c>
      <c r="B14" s="3" t="s">
        <v>15</v>
      </c>
      <c r="C14" s="6">
        <v>1000000</v>
      </c>
      <c r="D14" s="6">
        <v>0</v>
      </c>
      <c r="E14" s="8">
        <f t="shared" si="0"/>
        <v>0</v>
      </c>
      <c r="F14" s="6">
        <v>0</v>
      </c>
      <c r="G14" s="8">
        <f t="shared" si="1"/>
        <v>0</v>
      </c>
      <c r="H14" s="9">
        <v>0</v>
      </c>
      <c r="I14" s="17">
        <v>0</v>
      </c>
      <c r="J14" s="16">
        <v>0</v>
      </c>
      <c r="K14" s="16">
        <f t="shared" si="3"/>
        <v>0</v>
      </c>
      <c r="L14" s="29">
        <f t="shared" si="4"/>
        <v>1000000</v>
      </c>
      <c r="M14" s="25">
        <f t="shared" si="5"/>
        <v>0</v>
      </c>
    </row>
    <row r="15" spans="1:13" x14ac:dyDescent="0.25">
      <c r="A15" s="5">
        <v>10</v>
      </c>
      <c r="B15" s="3" t="s">
        <v>17</v>
      </c>
      <c r="C15" s="6">
        <v>95000</v>
      </c>
      <c r="D15" s="6">
        <v>0</v>
      </c>
      <c r="E15" s="8">
        <f t="shared" si="0"/>
        <v>0</v>
      </c>
      <c r="F15" s="6">
        <v>0</v>
      </c>
      <c r="G15" s="8">
        <f t="shared" si="1"/>
        <v>0</v>
      </c>
      <c r="H15" s="9">
        <v>0</v>
      </c>
      <c r="I15" s="17"/>
      <c r="J15" s="16">
        <v>95000</v>
      </c>
      <c r="K15" s="16">
        <f t="shared" si="3"/>
        <v>95000</v>
      </c>
      <c r="L15" s="29">
        <f t="shared" si="4"/>
        <v>0</v>
      </c>
      <c r="M15" s="25">
        <f t="shared" si="5"/>
        <v>1</v>
      </c>
    </row>
    <row r="16" spans="1:13" ht="30" x14ac:dyDescent="0.25">
      <c r="A16" s="5">
        <v>11</v>
      </c>
      <c r="B16" s="3" t="s">
        <v>16</v>
      </c>
      <c r="C16" s="6">
        <v>105000</v>
      </c>
      <c r="D16" s="6">
        <v>0</v>
      </c>
      <c r="E16" s="8">
        <f t="shared" si="0"/>
        <v>0</v>
      </c>
      <c r="F16" s="6">
        <v>0</v>
      </c>
      <c r="G16" s="8">
        <f t="shared" si="1"/>
        <v>0</v>
      </c>
      <c r="H16" s="9">
        <v>0</v>
      </c>
      <c r="I16" s="17">
        <v>1</v>
      </c>
      <c r="J16" s="16">
        <v>105000</v>
      </c>
      <c r="K16" s="16">
        <f t="shared" si="3"/>
        <v>105000</v>
      </c>
      <c r="L16" s="29">
        <f t="shared" si="4"/>
        <v>0</v>
      </c>
      <c r="M16" s="25">
        <f t="shared" si="5"/>
        <v>1</v>
      </c>
    </row>
    <row r="17" spans="1:14" x14ac:dyDescent="0.25">
      <c r="A17" s="5"/>
      <c r="B17" s="4" t="s">
        <v>11</v>
      </c>
      <c r="C17" s="11">
        <f>SUM(C6:C16)</f>
        <v>37732202</v>
      </c>
      <c r="D17" s="11">
        <f t="shared" ref="D17:F17" si="6">SUM(D6:D16)</f>
        <v>25643592</v>
      </c>
      <c r="E17" s="11">
        <f t="shared" si="6"/>
        <v>3.8901234893304313</v>
      </c>
      <c r="F17" s="11">
        <f t="shared" si="6"/>
        <v>35514199</v>
      </c>
      <c r="G17" s="12">
        <f>F17/C17</f>
        <v>0.94121723932252876</v>
      </c>
      <c r="H17" s="13">
        <f>SUM(H6:H16)</f>
        <v>1958</v>
      </c>
      <c r="I17" s="13">
        <f>SUM(I6:I16)</f>
        <v>1427</v>
      </c>
      <c r="J17" s="13">
        <f>SUM(J6:J16)</f>
        <v>31001452.638764225</v>
      </c>
      <c r="K17" s="13">
        <f>SUM(K6:K16)</f>
        <v>66515651.638764225</v>
      </c>
      <c r="L17" s="28"/>
      <c r="M17" s="12">
        <f>(J17+F17+J18)/C17</f>
        <v>1.7655437029295089</v>
      </c>
    </row>
    <row r="18" spans="1:14" ht="60" x14ac:dyDescent="0.25">
      <c r="A18" s="5">
        <v>12</v>
      </c>
      <c r="B18" s="3" t="s">
        <v>18</v>
      </c>
      <c r="C18" s="6">
        <v>102200</v>
      </c>
      <c r="D18" s="7">
        <v>0</v>
      </c>
      <c r="E18" s="8">
        <f t="shared" ref="E18" si="7">D18/C18</f>
        <v>0</v>
      </c>
      <c r="F18" s="6">
        <v>0</v>
      </c>
      <c r="G18" s="8">
        <f t="shared" ref="G18" si="8">F18/C18</f>
        <v>0</v>
      </c>
      <c r="H18" s="9">
        <v>0</v>
      </c>
      <c r="I18" s="17">
        <v>1</v>
      </c>
      <c r="J18" s="16">
        <v>102200</v>
      </c>
      <c r="K18" s="16">
        <f>J18+F18</f>
        <v>102200</v>
      </c>
      <c r="L18" s="29">
        <f t="shared" si="4"/>
        <v>0</v>
      </c>
      <c r="M18" s="12">
        <f>J18/C18</f>
        <v>1</v>
      </c>
    </row>
    <row r="19" spans="1:14" ht="14.45" customHeight="1" x14ac:dyDescent="0.25">
      <c r="A19" s="19"/>
      <c r="B19" s="45" t="s">
        <v>19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14" x14ac:dyDescent="0.25">
      <c r="A20" s="19"/>
      <c r="B20" s="43">
        <v>45442</v>
      </c>
      <c r="C20" s="43">
        <v>45473</v>
      </c>
      <c r="D20" s="43">
        <v>45503</v>
      </c>
      <c r="E20" s="43">
        <v>45534</v>
      </c>
      <c r="F20" s="43">
        <v>45565</v>
      </c>
      <c r="G20" s="43">
        <v>45595</v>
      </c>
      <c r="H20" s="43">
        <v>45626</v>
      </c>
      <c r="I20" s="43">
        <v>45656</v>
      </c>
      <c r="J20" s="18"/>
      <c r="K20" s="18"/>
      <c r="L20" s="18"/>
      <c r="N20" s="18"/>
    </row>
    <row r="21" spans="1:14" x14ac:dyDescent="0.25">
      <c r="A21" s="20"/>
      <c r="B21" s="21">
        <f>400000+452000+3000000+3000000</f>
        <v>6852000</v>
      </c>
      <c r="C21" s="22">
        <v>3000000</v>
      </c>
      <c r="D21" s="22">
        <v>6000000</v>
      </c>
      <c r="E21" s="22">
        <v>6000000</v>
      </c>
      <c r="F21" s="22">
        <v>3481500</v>
      </c>
      <c r="G21" s="22">
        <v>3481500</v>
      </c>
      <c r="H21" s="22">
        <v>3481500</v>
      </c>
      <c r="I21" s="22">
        <v>3435700</v>
      </c>
      <c r="L21" s="23"/>
    </row>
    <row r="22" spans="1:14" x14ac:dyDescent="0.25">
      <c r="A22" s="20"/>
      <c r="B22" s="26">
        <f>B21</f>
        <v>6852000</v>
      </c>
      <c r="C22" s="26">
        <f>C21+B22</f>
        <v>9852000</v>
      </c>
      <c r="D22" s="26">
        <f t="shared" ref="D22" si="9">D21+C22</f>
        <v>15852000</v>
      </c>
      <c r="E22" s="26">
        <f t="shared" ref="E22" si="10">E21+D22</f>
        <v>21852000</v>
      </c>
      <c r="F22" s="26">
        <f t="shared" ref="F22" si="11">F21+E22</f>
        <v>25333500</v>
      </c>
      <c r="G22" s="26">
        <f t="shared" ref="G22" si="12">G21+F22</f>
        <v>28815000</v>
      </c>
      <c r="H22" s="26">
        <f t="shared" ref="H22" si="13">H21+G22</f>
        <v>32296500</v>
      </c>
      <c r="I22" s="26">
        <f>I21+H22+2000000</f>
        <v>37732200</v>
      </c>
      <c r="J22" s="27"/>
      <c r="K22" s="27"/>
      <c r="L22" s="27"/>
    </row>
    <row r="24" spans="1:14" x14ac:dyDescent="0.25">
      <c r="F24" s="23"/>
    </row>
    <row r="25" spans="1:14" x14ac:dyDescent="0.25">
      <c r="I25" s="44"/>
    </row>
  </sheetData>
  <mergeCells count="9">
    <mergeCell ref="B19:M19"/>
    <mergeCell ref="A1:M1"/>
    <mergeCell ref="A4:A5"/>
    <mergeCell ref="B4:B5"/>
    <mergeCell ref="C4:H4"/>
    <mergeCell ref="I4:J4"/>
    <mergeCell ref="K4:K5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selection activeCell="J18" sqref="J18"/>
    </sheetView>
  </sheetViews>
  <sheetFormatPr defaultRowHeight="15" x14ac:dyDescent="0.25"/>
  <cols>
    <col min="1" max="1" width="6.7109375" bestFit="1" customWidth="1"/>
    <col min="2" max="2" width="65" style="1" customWidth="1"/>
    <col min="3" max="3" width="13.42578125" bestFit="1" customWidth="1"/>
    <col min="4" max="4" width="10.7109375" hidden="1" customWidth="1"/>
    <col min="5" max="5" width="10.5703125" hidden="1" customWidth="1"/>
    <col min="6" max="7" width="14.7109375" customWidth="1"/>
    <col min="8" max="8" width="14.140625" customWidth="1"/>
    <col min="9" max="9" width="15.28515625" customWidth="1"/>
  </cols>
  <sheetData>
    <row r="1" spans="1:9" s="36" customFormat="1" x14ac:dyDescent="0.25">
      <c r="A1" s="32"/>
      <c r="B1" s="33"/>
      <c r="C1" s="34"/>
      <c r="D1" s="34"/>
      <c r="E1" s="34"/>
      <c r="F1" s="35"/>
      <c r="G1" s="35"/>
    </row>
    <row r="2" spans="1:9" x14ac:dyDescent="0.25">
      <c r="A2" s="70" t="s">
        <v>31</v>
      </c>
      <c r="B2" s="70"/>
      <c r="C2" s="70"/>
      <c r="D2" s="70"/>
      <c r="E2" s="70"/>
      <c r="F2" s="70"/>
      <c r="G2" s="70"/>
      <c r="H2" s="70"/>
      <c r="I2" s="70"/>
    </row>
    <row r="4" spans="1:9" ht="26.45" customHeight="1" x14ac:dyDescent="0.25">
      <c r="A4" s="47" t="s">
        <v>0</v>
      </c>
      <c r="B4" s="58" t="s">
        <v>1</v>
      </c>
      <c r="C4" s="60" t="s">
        <v>10</v>
      </c>
      <c r="D4" s="61"/>
      <c r="E4" s="62"/>
      <c r="F4" s="66" t="s">
        <v>23</v>
      </c>
      <c r="G4" s="68" t="s">
        <v>27</v>
      </c>
      <c r="H4" s="56" t="s">
        <v>30</v>
      </c>
      <c r="I4" s="55" t="s">
        <v>28</v>
      </c>
    </row>
    <row r="5" spans="1:9" ht="28.9" customHeight="1" x14ac:dyDescent="0.25">
      <c r="A5" s="48"/>
      <c r="B5" s="59"/>
      <c r="C5" s="63"/>
      <c r="D5" s="64"/>
      <c r="E5" s="65"/>
      <c r="F5" s="67"/>
      <c r="G5" s="69"/>
      <c r="H5" s="57"/>
      <c r="I5" s="55">
        <v>3</v>
      </c>
    </row>
    <row r="6" spans="1:9" ht="30" x14ac:dyDescent="0.25">
      <c r="A6" s="5">
        <v>1</v>
      </c>
      <c r="B6" s="3" t="s">
        <v>7</v>
      </c>
      <c r="C6" s="6">
        <f>12500000+H6</f>
        <v>14200000</v>
      </c>
      <c r="D6" s="7">
        <v>0</v>
      </c>
      <c r="E6" s="8">
        <v>0</v>
      </c>
      <c r="F6" s="16">
        <v>17587240</v>
      </c>
      <c r="G6" s="29">
        <f>C6-F6</f>
        <v>-3387240</v>
      </c>
      <c r="H6" s="30">
        <f>G10+G9</f>
        <v>1700000</v>
      </c>
      <c r="I6" s="31" t="s">
        <v>43</v>
      </c>
    </row>
    <row r="7" spans="1:9" x14ac:dyDescent="0.25">
      <c r="A7" s="5">
        <v>2</v>
      </c>
      <c r="B7" s="3" t="s">
        <v>6</v>
      </c>
      <c r="C7" s="6">
        <f>4000000+H7</f>
        <v>4000000</v>
      </c>
      <c r="D7" s="7">
        <v>0</v>
      </c>
      <c r="E7" s="8">
        <v>0</v>
      </c>
      <c r="F7" s="16">
        <v>8356660.0773480656</v>
      </c>
      <c r="G7" s="29">
        <f t="shared" ref="G7:G14" si="0">C7-F7</f>
        <v>-4356660.0773480656</v>
      </c>
      <c r="H7" s="30"/>
      <c r="I7" s="31"/>
    </row>
    <row r="8" spans="1:9" x14ac:dyDescent="0.25">
      <c r="A8" s="5">
        <v>3</v>
      </c>
      <c r="B8" s="3" t="s">
        <v>5</v>
      </c>
      <c r="C8" s="6">
        <v>9000000</v>
      </c>
      <c r="D8" s="7">
        <v>0</v>
      </c>
      <c r="E8" s="8">
        <v>0</v>
      </c>
      <c r="F8" s="16">
        <v>8946785.7142857146</v>
      </c>
      <c r="G8" s="29">
        <f t="shared" si="0"/>
        <v>53214.285714285448</v>
      </c>
      <c r="H8" s="30"/>
      <c r="I8" s="31"/>
    </row>
    <row r="9" spans="1:9" ht="30" x14ac:dyDescent="0.25">
      <c r="A9" s="5">
        <v>4</v>
      </c>
      <c r="B9" s="3" t="s">
        <v>4</v>
      </c>
      <c r="C9" s="6">
        <v>500000</v>
      </c>
      <c r="D9" s="7">
        <v>0</v>
      </c>
      <c r="E9" s="8">
        <v>0</v>
      </c>
      <c r="F9" s="16">
        <v>300000</v>
      </c>
      <c r="G9" s="29">
        <f t="shared" si="0"/>
        <v>200000</v>
      </c>
      <c r="H9" s="30"/>
      <c r="I9" s="31"/>
    </row>
    <row r="10" spans="1:9" ht="30" x14ac:dyDescent="0.25">
      <c r="A10" s="5">
        <v>5</v>
      </c>
      <c r="B10" s="3" t="s">
        <v>3</v>
      </c>
      <c r="C10" s="6">
        <v>1850000</v>
      </c>
      <c r="D10" s="7">
        <v>0</v>
      </c>
      <c r="E10" s="8">
        <v>0</v>
      </c>
      <c r="F10" s="16">
        <v>350000</v>
      </c>
      <c r="G10" s="29">
        <f>C10-F10</f>
        <v>1500000</v>
      </c>
      <c r="H10" s="30"/>
      <c r="I10" s="31"/>
    </row>
    <row r="11" spans="1:9" x14ac:dyDescent="0.25">
      <c r="A11" s="5">
        <v>6</v>
      </c>
      <c r="B11" s="3" t="s">
        <v>8</v>
      </c>
      <c r="C11" s="6">
        <f>4482200+H11</f>
        <v>6682200</v>
      </c>
      <c r="D11" s="7">
        <v>0</v>
      </c>
      <c r="E11" s="8">
        <v>0</v>
      </c>
      <c r="F11" s="16">
        <v>10164843.170320405</v>
      </c>
      <c r="G11" s="29">
        <f t="shared" si="0"/>
        <v>-3482643.1703204047</v>
      </c>
      <c r="H11" s="30">
        <f>G12+G13+G14</f>
        <v>2200000</v>
      </c>
      <c r="I11" s="31" t="s">
        <v>44</v>
      </c>
    </row>
    <row r="12" spans="1:9" x14ac:dyDescent="0.25">
      <c r="A12" s="5">
        <v>7</v>
      </c>
      <c r="B12" s="3" t="s">
        <v>9</v>
      </c>
      <c r="C12" s="6">
        <v>1700000</v>
      </c>
      <c r="D12" s="7">
        <v>0</v>
      </c>
      <c r="E12" s="8">
        <v>0</v>
      </c>
      <c r="F12" s="16">
        <v>0</v>
      </c>
      <c r="G12" s="29">
        <f t="shared" si="0"/>
        <v>1700000</v>
      </c>
      <c r="H12" s="30"/>
      <c r="I12" s="31"/>
    </row>
    <row r="13" spans="1:9" ht="14.45" customHeight="1" x14ac:dyDescent="0.25">
      <c r="A13" s="5">
        <v>8</v>
      </c>
      <c r="B13" s="3" t="s">
        <v>29</v>
      </c>
      <c r="C13" s="6">
        <v>500000</v>
      </c>
      <c r="D13" s="7">
        <v>0</v>
      </c>
      <c r="E13" s="8">
        <v>0</v>
      </c>
      <c r="F13" s="16">
        <v>0</v>
      </c>
      <c r="G13" s="29">
        <f t="shared" si="0"/>
        <v>500000</v>
      </c>
      <c r="H13" s="30"/>
      <c r="I13" s="31"/>
    </row>
    <row r="14" spans="1:9" ht="45" x14ac:dyDescent="0.25">
      <c r="A14" s="5">
        <v>9</v>
      </c>
      <c r="B14" s="3" t="s">
        <v>15</v>
      </c>
      <c r="C14" s="6">
        <v>1000000</v>
      </c>
      <c r="D14" s="7">
        <v>0</v>
      </c>
      <c r="E14" s="8">
        <v>0</v>
      </c>
      <c r="F14" s="16">
        <v>1000000</v>
      </c>
      <c r="G14" s="29">
        <f t="shared" si="0"/>
        <v>0</v>
      </c>
      <c r="H14" s="30"/>
      <c r="I14" s="31"/>
    </row>
    <row r="15" spans="1:9" x14ac:dyDescent="0.25">
      <c r="A15" s="5"/>
      <c r="B15" s="4" t="s">
        <v>33</v>
      </c>
      <c r="C15" s="72">
        <f>G11+G7+G6</f>
        <v>-11226543.247668471</v>
      </c>
      <c r="D15" s="73"/>
      <c r="E15" s="73"/>
      <c r="F15" s="73"/>
      <c r="G15" s="73"/>
      <c r="H15" s="73"/>
      <c r="I15" s="74"/>
    </row>
    <row r="17" spans="1:9" x14ac:dyDescent="0.25">
      <c r="A17" s="70" t="s">
        <v>32</v>
      </c>
      <c r="B17" s="70"/>
      <c r="C17" s="70"/>
      <c r="D17" s="70"/>
      <c r="E17" s="70"/>
      <c r="F17" s="70"/>
      <c r="G17" s="70"/>
      <c r="H17" s="70"/>
      <c r="I17" s="70"/>
    </row>
    <row r="18" spans="1:9" ht="26.45" customHeight="1" x14ac:dyDescent="0.25">
      <c r="A18" s="47" t="s">
        <v>0</v>
      </c>
      <c r="B18" s="58" t="s">
        <v>1</v>
      </c>
      <c r="C18" s="49" t="s">
        <v>35</v>
      </c>
      <c r="D18" s="49"/>
      <c r="E18" s="49"/>
      <c r="F18" s="51" t="s">
        <v>36</v>
      </c>
      <c r="G18" s="52" t="s">
        <v>37</v>
      </c>
      <c r="H18" s="71"/>
      <c r="I18" s="71"/>
    </row>
    <row r="19" spans="1:9" ht="28.9" customHeight="1" x14ac:dyDescent="0.25">
      <c r="A19" s="48"/>
      <c r="B19" s="59"/>
      <c r="C19" s="49"/>
      <c r="D19" s="49"/>
      <c r="E19" s="49"/>
      <c r="F19" s="51"/>
      <c r="G19" s="52"/>
      <c r="H19" s="71"/>
      <c r="I19" s="71"/>
    </row>
    <row r="20" spans="1:9" ht="30" x14ac:dyDescent="0.25">
      <c r="A20" s="5">
        <v>1</v>
      </c>
      <c r="B20" s="3" t="s">
        <v>7</v>
      </c>
      <c r="C20" s="6">
        <v>20000000</v>
      </c>
      <c r="D20" s="7">
        <v>0</v>
      </c>
      <c r="E20" s="8">
        <v>0</v>
      </c>
      <c r="F20" s="53"/>
      <c r="G20" s="54"/>
      <c r="H20" s="39"/>
      <c r="I20" s="40"/>
    </row>
    <row r="21" spans="1:9" x14ac:dyDescent="0.25">
      <c r="A21" s="5">
        <v>2</v>
      </c>
      <c r="B21" s="3" t="s">
        <v>6</v>
      </c>
      <c r="C21" s="6">
        <v>10000000</v>
      </c>
      <c r="D21" s="7">
        <v>0</v>
      </c>
      <c r="E21" s="8">
        <v>0</v>
      </c>
      <c r="F21" s="53"/>
      <c r="G21" s="54"/>
      <c r="H21" s="39"/>
      <c r="I21" s="40"/>
    </row>
    <row r="22" spans="1:9" x14ac:dyDescent="0.25">
      <c r="A22" s="5">
        <v>3</v>
      </c>
      <c r="B22" s="3" t="s">
        <v>5</v>
      </c>
      <c r="C22" s="6">
        <v>10000000</v>
      </c>
      <c r="D22" s="7">
        <v>0</v>
      </c>
      <c r="E22" s="8">
        <v>0</v>
      </c>
      <c r="F22" s="53"/>
      <c r="G22" s="54"/>
      <c r="H22" s="39"/>
      <c r="I22" s="40"/>
    </row>
    <row r="23" spans="1:9" x14ac:dyDescent="0.25">
      <c r="A23" s="5">
        <v>6</v>
      </c>
      <c r="B23" s="3" t="s">
        <v>8</v>
      </c>
      <c r="C23" s="6">
        <v>10000000</v>
      </c>
      <c r="D23" s="7">
        <v>0</v>
      </c>
      <c r="E23" s="8">
        <v>0</v>
      </c>
      <c r="F23" s="53"/>
      <c r="G23" s="54"/>
      <c r="H23" s="39"/>
      <c r="I23" s="40"/>
    </row>
    <row r="24" spans="1:9" x14ac:dyDescent="0.25">
      <c r="A24" s="19"/>
      <c r="B24" s="37" t="s">
        <v>34</v>
      </c>
      <c r="C24" s="22">
        <f>SUM(C20:C23)</f>
        <v>50000000</v>
      </c>
      <c r="D24" s="19"/>
      <c r="E24" s="19"/>
      <c r="F24" s="22">
        <f>'Аркуш1 (3)'!I22</f>
        <v>37732200</v>
      </c>
      <c r="G24" s="22">
        <v>44808000</v>
      </c>
    </row>
    <row r="25" spans="1:9" x14ac:dyDescent="0.25">
      <c r="A25" s="19"/>
      <c r="B25" s="20" t="s">
        <v>38</v>
      </c>
      <c r="C25" s="22">
        <f>C15</f>
        <v>-11226543.247668471</v>
      </c>
      <c r="D25" s="19"/>
      <c r="E25" s="19"/>
      <c r="F25" s="22">
        <v>-4000000</v>
      </c>
      <c r="G25" s="19"/>
    </row>
    <row r="26" spans="1:9" x14ac:dyDescent="0.25">
      <c r="A26" s="19"/>
      <c r="B26" s="20" t="s">
        <v>39</v>
      </c>
      <c r="C26" s="38">
        <f>C24+C25</f>
        <v>38773456.752331525</v>
      </c>
      <c r="D26" s="38">
        <f t="shared" ref="D26:F26" si="1">D24+D25</f>
        <v>0</v>
      </c>
      <c r="E26" s="38">
        <f t="shared" si="1"/>
        <v>0</v>
      </c>
      <c r="F26" s="38">
        <f t="shared" si="1"/>
        <v>33732200</v>
      </c>
      <c r="G26" s="38">
        <f>G24+G25</f>
        <v>44808000</v>
      </c>
    </row>
    <row r="28" spans="1:9" x14ac:dyDescent="0.25">
      <c r="A28" s="41" t="s">
        <v>40</v>
      </c>
      <c r="B28" s="42"/>
      <c r="C28" s="41"/>
    </row>
    <row r="29" spans="1:9" x14ac:dyDescent="0.25">
      <c r="A29" s="41"/>
      <c r="B29" s="42"/>
      <c r="C29" s="41"/>
    </row>
    <row r="30" spans="1:9" x14ac:dyDescent="0.25">
      <c r="A30" s="41" t="s">
        <v>42</v>
      </c>
      <c r="B30" s="42"/>
      <c r="C30" s="41"/>
    </row>
  </sheetData>
  <mergeCells count="19">
    <mergeCell ref="A2:I2"/>
    <mergeCell ref="A17:I17"/>
    <mergeCell ref="A18:A19"/>
    <mergeCell ref="B18:B19"/>
    <mergeCell ref="C18:E19"/>
    <mergeCell ref="F18:F19"/>
    <mergeCell ref="G18:G19"/>
    <mergeCell ref="H18:H19"/>
    <mergeCell ref="I18:I19"/>
    <mergeCell ref="C15:I15"/>
    <mergeCell ref="F20:F23"/>
    <mergeCell ref="G20:G23"/>
    <mergeCell ref="I4:I5"/>
    <mergeCell ref="H4:H5"/>
    <mergeCell ref="A4:A5"/>
    <mergeCell ref="B4:B5"/>
    <mergeCell ref="C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Аркуш1 (3)</vt:lpstr>
      <vt:lpstr>Моделювання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Надія Лесів</dc:creator>
  <cp:lastModifiedBy>User</cp:lastModifiedBy>
  <cp:lastPrinted>2024-10-03T06:58:04Z</cp:lastPrinted>
  <dcterms:created xsi:type="dcterms:W3CDTF">2024-05-13T10:02:57Z</dcterms:created>
  <dcterms:modified xsi:type="dcterms:W3CDTF">2024-11-05T11:33:06Z</dcterms:modified>
</cp:coreProperties>
</file>